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Regulierungsmanagement\SLP-Gas-Verfahren\"/>
    </mc:Choice>
  </mc:AlternateContent>
  <bookViews>
    <workbookView xWindow="-105" yWindow="-105" windowWidth="19425" windowHeight="1042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X21" i="7" l="1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<sst xmlns="http://schemas.openxmlformats.org/spreadsheetml/2006/main" count="1396" uniqueCount="676">
  <si>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</si>
  <si>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</si>
  <si>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</si>
  <si>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</si>
  <si>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</si>
  <si>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</si>
  <si>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</si>
  <si>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</si>
  <si>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</si>
  <si>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</si>
  <si>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</si>
  <si>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</si>
  <si>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</si>
  <si>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</si>
  <si>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</si>
  <si>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</si>
  <si>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</si>
  <si>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</si>
  <si>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</si>
  <si>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</si>
  <si>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</si>
  <si>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</si>
  <si>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</si>
  <si>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</si>
  <si>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</si>
  <si>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</si>
  <si>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</si>
  <si>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</si>
  <si>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</si>
  <si>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</si>
  <si>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</si>
  <si>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</si>
  <si>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</si>
  <si>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</si>
  <si>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</si>
  <si>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</si>
  <si>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</si>
  <si>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</si>
  <si>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</si>
  <si>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</si>
  <si>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</si>
  <si>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</si>
  <si>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</si>
  <si>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</si>
  <si>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</si>
  <si>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</si>
  <si>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</si>
  <si>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</si>
  <si>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</si>
  <si>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</si>
  <si>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</si>
  <si>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</si>
  <si>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</si>
  <si>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</si>
  <si>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</si>
  <si>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</si>
  <si>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</si>
  <si>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</si>
  <si>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</si>
  <si>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</si>
  <si>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</si>
  <si>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</si>
  <si>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</si>
  <si>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</si>
  <si>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</si>
  <si>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</si>
  <si>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</si>
  <si>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</si>
  <si>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</si>
  <si>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</si>
  <si>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</si>
  <si>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</si>
  <si>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</si>
  <si>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</si>
  <si>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</si>
  <si>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</si>
  <si>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</si>
  <si>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</si>
  <si>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</si>
  <si>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</si>
  <si>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</si>
  <si>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</si>
  <si>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</si>
  <si>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</si>
  <si>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</si>
  <si>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</si>
  <si>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</si>
  <si>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</si>
  <si>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</si>
  <si>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</si>
  <si>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</si>
  <si>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</si>
  <si>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</si>
  <si>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</si>
  <si>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</si>
  <si>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</si>
  <si>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</si>
  <si>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</si>
  <si>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</si>
  <si>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</si>
  <si>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</si>
  <si>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</si>
  <si>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</si>
  <si>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</si>
  <si>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</si>
  <si>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</si>
  <si>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</si>
  <si>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</si>
  <si>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</si>
  <si>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</si>
  <si>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</si>
  <si>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</si>
  <si>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</si>
  <si>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</si>
  <si>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</si>
  <si>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</si>
  <si>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</si>
  <si>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</si>
  <si>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</si>
  <si>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</si>
  <si>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</si>
  <si>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</si>
  <si>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</si>
  <si>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</si>
  <si>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</si>
  <si>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</si>
  <si>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</si>
  <si>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</si>
  <si>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</si>
  <si>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</si>
  <si>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</si>
  <si>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</si>
  <si>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</si>
  <si>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</si>
  <si>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</si>
  <si>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</si>
  <si>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</si>
  <si>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</si>
  <si>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</si>
  <si>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</si>
  <si>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</si>
  <si>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</si>
  <si>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</si>
  <si>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</si>
  <si>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</si>
  <si>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</si>
  <si>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</si>
  <si>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</si>
  <si>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</si>
  <si>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</si>
  <si>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</si>
  <si>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</si>
  <si>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</si>
  <si>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</si>
  <si>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</si>
  <si>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</si>
  <si>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</si>
  <si>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</si>
  <si>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</si>
  <si>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</si>
  <si>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</si>
  <si>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</si>
  <si>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</si>
  <si>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</si>
  <si>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</si>
  <si>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</si>
  <si>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</si>
  <si>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</si>
  <si>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</si>
  <si>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</si>
  <si>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</si>
  <si>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</si>
  <si>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</si>
  <si>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</si>
  <si>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</si>
  <si>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</si>
  <si>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</si>
  <si>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</si>
  <si>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</si>
  <si>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</si>
  <si>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</si>
  <si>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</si>
  <si>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</si>
  <si>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</si>
  <si>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</si>
  <si>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</si>
  <si>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</si>
  <si>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</si>
  <si>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</si>
  <si>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</si>
  <si>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</si>
  <si>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</si>
  <si>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</si>
  <si>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</si>
  <si>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</si>
  <si>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</si>
  <si>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</si>
  <si>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</si>
  <si>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</si>
  <si>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</si>
  <si>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</si>
  <si>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</si>
  <si>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</si>
  <si>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</si>
  <si>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</si>
  <si>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</si>
  <si>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</si>
  <si>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</si>
  <si>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</si>
  <si>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</si>
  <si>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</si>
  <si>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</si>
  <si>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</si>
  <si>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</si>
  <si>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</si>
  <si>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</si>
  <si>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</si>
  <si>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</si>
  <si>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</si>
  <si>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</si>
  <si>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</si>
  <si>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</si>
  <si>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</si>
  <si>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</si>
  <si>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</si>
  <si>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</si>
  <si>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</si>
  <si>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</si>
  <si>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</si>
  <si>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</si>
  <si>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</si>
  <si>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</si>
  <si>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</si>
  <si>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</si>
  <si>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</si>
  <si>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</si>
  <si>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</si>
  <si>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</si>
  <si>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</si>
  <si>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</si>
  <si>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</si>
  <si>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</si>
  <si>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</si>
  <si>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</si>
  <si>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</si>
  <si>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</si>
  <si>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</si>
  <si>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</si>
  <si>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</si>
  <si>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</si>
  <si>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</si>
  <si>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</si>
  <si>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</si>
  <si>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</si>
  <si>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</si>
  <si>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</si>
  <si>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</si>
  <si>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</si>
  <si>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</si>
  <si>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</si>
  <si>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</si>
  <si>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</si>
  <si>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</si>
  <si>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</si>
  <si>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</si>
  <si>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</si>
  <si>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</si>
  <si>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</si>
  <si>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</si>
  <si>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</si>
  <si>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</si>
  <si>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</si>
  <si>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</si>
  <si>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</si>
  <si>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</si>
  <si>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</si>
  <si>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</si>
  <si>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</si>
  <si>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</si>
  <si>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</si>
  <si>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</si>
  <si>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</si>
  <si>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</si>
  <si>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</si>
  <si>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</si>
  <si>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</si>
  <si>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</si>
  <si>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</si>
  <si>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</si>
  <si>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</si>
  <si>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</si>
  <si>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</si>
  <si>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</si>
  <si>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</si>
  <si>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</si>
  <si>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</si>
  <si>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</si>
  <si>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</si>
  <si>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</si>
  <si>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</si>
  <si>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</si>
  <si>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</si>
  <si>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</si>
  <si>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</si>
  <si>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</si>
  <si>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</si>
  <si>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</si>
  <si>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</si>
  <si>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</si>
  <si>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</si>
  <si>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</si>
  <si>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</si>
  <si>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</si>
  <si>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</si>
  <si>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</si>
  <si>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</si>
  <si>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</si>
  <si>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</si>
  <si>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</si>
  <si>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</si>
  <si>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</si>
  <si>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</si>
  <si>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</si>
  <si>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</si>
  <si>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</si>
  <si>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</si>
  <si>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</si>
  <si>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</si>
  <si>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</si>
  <si>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</si>
  <si>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</si>
  <si>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</si>
  <si>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</si>
  <si>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</si>
  <si>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</si>
  <si>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</si>
  <si>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</si>
  <si>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</si>
  <si>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</si>
  <si>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</si>
  <si>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</si>
  <si>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</si>
  <si>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</si>
  <si>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</si>
  <si>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</si>
  <si>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</si>
  <si>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</si>
  <si>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</si>
  <si>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</si>
  <si>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</si>
  <si>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</si>
  <si>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</si>
  <si>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</si>
  <si>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</si>
  <si>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</si>
  <si>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</si>
  <si>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</si>
  <si>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</si>
  <si>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</si>
  <si>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</si>
  <si>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</si>
  <si>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</si>
  <si>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</si>
  <si>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</si>
  <si>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</si>
  <si>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</si>
  <si>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</si>
  <si>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</si>
  <si>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</si>
  <si>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</si>
  <si>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</si>
  <si>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</si>
  <si>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</si>
  <si>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</si>
  <si>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</si>
  <si>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</si>
  <si>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</si>
  <si>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</si>
  <si>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</si>
  <si>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</si>
  <si>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</si>
  <si>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</si>
  <si>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</si>
  <si>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</si>
  <si>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</si>
  <si>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</si>
  <si>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</si>
  <si>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</si>
  <si>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</si>
  <si>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</si>
  <si>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</si>
  <si>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</si>
  <si>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</si>
  <si>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</si>
  <si>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</si>
  <si>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</si>
  <si>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</si>
  <si>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</si>
  <si>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</si>
  <si>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</si>
  <si>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</si>
  <si>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</si>
  <si>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</si>
  <si>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</si>
  <si>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</si>
  <si>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</si>
  <si>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</si>
  <si>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</si>
  <si>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</si>
  <si>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</si>
  <si>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</si>
  <si>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</si>
  <si>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</si>
  <si>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</si>
  <si>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</si>
  <si>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</si>
  <si>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</si>
  <si>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</si>
  <si>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</si>
  <si>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</si>
  <si>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</si>
  <si>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</si>
  <si>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</si>
  <si>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</si>
  <si>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</si>
  <si>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</si>
  <si>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</si>
  <si>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</si>
  <si>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</si>
  <si>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</si>
  <si>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</si>
  <si>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</si>
  <si>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</si>
  <si>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</si>
  <si>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</si>
  <si>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</si>
  <si>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</si>
  <si>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</si>
  <si>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</si>
  <si>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</si>
  <si>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</si>
  <si>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</si>
  <si>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</si>
  <si>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</si>
  <si>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</si>
  <si>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</si>
  <si>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</si>
  <si>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</si>
  <si>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</si>
  <si>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</si>
  <si>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</si>
  <si>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</si>
  <si>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</si>
  <si>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</si>
  <si>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</si>
  <si>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</si>
  <si>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</si>
  <si>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</si>
  <si>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</si>
  <si>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</si>
  <si>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</si>
  <si>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</si>
  <si>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</si>
  <si>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</si>
  <si>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</si>
  <si>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</si>
  <si>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</si>
  <si>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</si>
  <si>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</si>
  <si>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</si>
  <si>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</si>
  <si>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</si>
  <si>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</si>
  <si>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</si>
  <si>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</si>
  <si>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</si>
  <si>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</si>
  <si>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</si>
  <si>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</si>
  <si>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</si>
  <si>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</si>
  <si>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</si>
  <si>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</si>
  <si>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</si>
  <si>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</si>
  <si>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</si>
  <si>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</si>
  <si>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</si>
  <si>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</si>
  <si>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</si>
  <si>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</si>
  <si>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</si>
  <si>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</si>
  <si>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</si>
  <si>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</si>
  <si>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</si>
  <si>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</si>
  <si>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</si>
  <si>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</si>
  <si>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</si>
  <si>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</si>
  <si>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</si>
  <si>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</si>
  <si>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</si>
  <si>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</si>
  <si>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</si>
  <si>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</si>
  <si>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</si>
  <si>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</si>
  <si>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</si>
  <si>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</si>
  <si>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</si>
  <si>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</si>
  <si>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</si>
  <si>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</si>
  <si>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</si>
  <si>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</si>
  <si>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</si>
  <si>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</si>
  <si>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</si>
  <si>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</si>
  <si>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</si>
  <si>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</si>
  <si>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</si>
  <si>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</si>
  <si>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</si>
  <si>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</si>
  <si>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</si>
  <si>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</si>
  <si>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</si>
  <si>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</si>
  <si>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</si>
  <si>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</si>
  <si>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</si>
  <si>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</si>
  <si>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</si>
  <si>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</si>
  <si>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</si>
  <si>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</si>
  <si>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</si>
  <si>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</si>
  <si>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</si>
  <si>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</si>
  <si>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</si>
  <si>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</si>
  <si>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</si>
  <si>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</si>
  <si>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</si>
  <si>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</si>
  <si>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</si>
  <si>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</si>
  <si>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</si>
  <si>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</si>
  <si>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</si>
  <si>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</si>
  <si>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</si>
  <si>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</si>
  <si>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</si>
  <si>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</si>
  <si>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</si>
  <si>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</si>
  <si>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</si>
  <si>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</si>
  <si>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</si>
  <si>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</si>
  <si>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</si>
  <si>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</si>
  <si>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</si>
  <si>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</si>
  <si>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</si>
  <si>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</si>
  <si>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</si>
  <si>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</si>
  <si>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</si>
  <si>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</si>
  <si>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</si>
  <si>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</si>
  <si>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</si>
  <si>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</si>
  <si>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</si>
  <si>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</si>
  <si>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</si>
  <si>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</si>
  <si>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</si>
  <si>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</si>
  <si>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</si>
  <si>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</si>
  <si>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</si>
  <si>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</si>
  <si>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</si>
  <si>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</si>
  <si>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</si>
  <si>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</si>
  <si>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</si>
  <si>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</si>
  <si>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</si>
  <si>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</si>
  <si>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</si>
  <si>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</si>
  <si>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</si>
  <si>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</si>
  <si>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</si>
  <si>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</si>
  <si>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</si>
  <si>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</si>
  <si>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</si>
  <si>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</si>
  <si>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</si>
  <si>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</si>
  <si>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</si>
  <si>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</si>
  <si>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</si>
  <si>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</si>
  <si>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</si>
  <si>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</si>
  <si>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</si>
  <si>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</si>
  <si>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</si>
  <si>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</si>
  <si>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</si>
  <si>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</si>
  <si>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</si>
  <si>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</si>
  <si>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</si>
  <si>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</si>
  <si>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</si>
  <si>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</si>
  <si>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</si>
  <si>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</si>
  <si>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</si>
  <si>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</si>
  <si>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</si>
  <si>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</si>
  <si>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</si>
  <si>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</si>
  <si>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</si>
  <si>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</si>
  <si>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</si>
  <si>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</si>
  <si>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</si>
  <si>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</si>
  <si>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</si>
  <si>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</si>
  <si>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</si>
  <si>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</si>
  <si>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</si>
  <si>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</si>
  <si>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</si>
  <si>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</si>
  <si>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</si>
  <si>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</si>
  <si>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</si>
  <si>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</si>
  <si>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</si>
  <si>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</si>
  <si>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</si>
  <si>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Schaumburg-Lippe GmbH</t>
  </si>
  <si>
    <t>An der Gasanstalt 6</t>
  </si>
  <si>
    <t>Bückeburg</t>
  </si>
  <si>
    <t>Stefan Machate</t>
  </si>
  <si>
    <t>s.machate@stadtwerke-schaumburg-lippe.de</t>
  </si>
  <si>
    <t>05722 2807-243</t>
  </si>
  <si>
    <t>SWSL</t>
  </si>
  <si>
    <t>THE0NKL700058000</t>
  </si>
  <si>
    <t>Meteomedia</t>
  </si>
  <si>
    <t>DE_GKO05</t>
  </si>
  <si>
    <t>DE_GHA05</t>
  </si>
  <si>
    <t>DE_GMK05</t>
  </si>
  <si>
    <t>DE_GBD05</t>
  </si>
  <si>
    <t>DE_GBH05</t>
  </si>
  <si>
    <t>DE_GGA05</t>
  </si>
  <si>
    <t>DE_GBA05</t>
  </si>
  <si>
    <t>DE_GWA05</t>
  </si>
  <si>
    <t>DE_GGB05</t>
  </si>
  <si>
    <t>DE_GPD05</t>
  </si>
  <si>
    <t>DE_GMF05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</si>
</sst>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WSL-Excel-TabelleVerfahrensspezifische-SLP-ParameterStand-17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EW-Standar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" sqref="D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43678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42">
        <v>9870005800007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31675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SWSL</v>
      </c>
      <c r="E28" s="38"/>
      <c r="F28" s="11"/>
      <c r="G28" s="2"/>
    </row>
    <row r="29" spans="1:15">
      <c r="B29" s="15"/>
      <c r="C29" s="22" t="s">
        <v>392</v>
      </c>
      <c r="D29" s="45" t="s">
        <v>662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>Stadtwerke Schaumburg-Lippe GmbH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SWSL</v>
      </c>
      <c r="E6" s="15"/>
      <c r="H6" s="68"/>
      <c r="I6" s="68"/>
      <c r="J6" s="68"/>
      <c r="K6" s="68"/>
    </row>
    <row r="7" spans="2:15" ht="15" customHeight="1">
      <c r="B7" s="22"/>
      <c r="C7" s="60" t="s">
        <v>484</v>
      </c>
      <c r="D7" s="61">
        <f>Netzbetreiber!$D$11</f>
        <v>9870005800007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43678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652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82</v>
      </c>
      <c r="C15" s="31" t="s">
        <v>365</v>
      </c>
      <c r="D15" s="49" t="s">
        <v>256</v>
      </c>
      <c r="E15" s="15"/>
      <c r="H15" s="275" t="s">
        <v>256</v>
      </c>
      <c r="I15" s="275" t="s">
        <v>134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485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486</v>
      </c>
      <c r="I17" s="276" t="s">
        <v>487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83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84</v>
      </c>
      <c r="C23" s="6" t="s">
        <v>577</v>
      </c>
      <c r="D23" s="42" t="s">
        <v>135</v>
      </c>
      <c r="E23" s="15"/>
      <c r="H23" s="275" t="s">
        <v>133</v>
      </c>
      <c r="I23" s="275" t="s">
        <v>135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367</v>
      </c>
      <c r="C28" s="6" t="s">
        <v>576</v>
      </c>
      <c r="D28" s="42" t="s">
        <v>135</v>
      </c>
      <c r="E28" s="15"/>
      <c r="H28" s="275" t="s">
        <v>133</v>
      </c>
      <c r="I28" s="275" t="s">
        <v>135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490</v>
      </c>
      <c r="C32" s="24" t="s">
        <v>492</v>
      </c>
      <c r="D32" s="269">
        <v>13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73"/>
      <c r="J34" s="273"/>
      <c r="K34" s="273"/>
      <c r="L34" s="273"/>
      <c r="M34" s="274"/>
    </row>
    <row r="35" spans="2:39" customFormat="1" ht="15" customHeight="1">
      <c r="C35" s="8" t="s">
        <v>488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662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60" priority="20">
      <formula>IF(#REF!="Gaspool",1,0)</formula>
    </cfRule>
  </conditionalFormatting>
  <conditionalFormatting sqref="D45:D59">
    <cfRule type="expression" dxfId="59" priority="16">
      <formula>IF(CELL("Zeile",D45)&lt;$D$43+CELL("Zeile",$D$45),1,0)</formula>
    </cfRule>
  </conditionalFormatting>
  <conditionalFormatting sqref="D46:D59">
    <cfRule type="expression" dxfId="58" priority="15">
      <formula>IF(CELL(D46)&lt;$D$33+27,1,0)</formula>
    </cfRule>
  </conditionalFormatting>
  <conditionalFormatting sqref="D20">
    <cfRule type="expression" dxfId="57" priority="14">
      <formula>IF($D$19=$H$19,1,0)</formula>
    </cfRule>
  </conditionalFormatting>
  <conditionalFormatting sqref="D28">
    <cfRule type="expression" dxfId="56" priority="3">
      <formula>IF($D$15="synthetisch",1,0)</formula>
    </cfRule>
  </conditionalFormatting>
  <conditionalFormatting sqref="D25">
    <cfRule type="expression" dxfId="55" priority="1">
      <formula>IF(AND($D$24=$I$24,$D$23=$H$23),1,0)</formula>
    </cfRule>
  </conditionalFormatting>
  <conditionalFormatting sqref="D23:D25">
    <cfRule type="expression" dxfId="54" priority="4">
      <formula>IF($D$15="analytisch",1,0)</formula>
    </cfRule>
  </conditionalFormatting>
  <conditionalFormatting sqref="D24">
    <cfRule type="expression" dxfId="53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32" sqref="E32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SWSL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SWSL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583</v>
      </c>
      <c r="D13" s="354"/>
      <c r="E13" s="354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444</v>
      </c>
      <c r="D14" s="355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5" t="s">
        <v>384</v>
      </c>
      <c r="D15" s="355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664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514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136</v>
      </c>
      <c r="D23" s="189"/>
      <c r="E23" s="157" t="s">
        <v>501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Meteomedia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658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513</v>
      </c>
      <c r="D25" s="189"/>
      <c r="E25" s="161">
        <v>10335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140</v>
      </c>
      <c r="D26" s="189"/>
      <c r="E26" s="157" t="s">
        <v>502</v>
      </c>
      <c r="F26" s="157" t="s">
        <v>502</v>
      </c>
      <c r="G26" s="157" t="s">
        <v>502</v>
      </c>
      <c r="H26" s="157" t="s">
        <v>502</v>
      </c>
      <c r="I26" s="157" t="s">
        <v>502</v>
      </c>
      <c r="J26" s="157" t="s">
        <v>502</v>
      </c>
      <c r="K26" s="157" t="s">
        <v>502</v>
      </c>
      <c r="L26" s="157" t="s">
        <v>502</v>
      </c>
      <c r="M26" s="157" t="s">
        <v>502</v>
      </c>
      <c r="N26" s="157" t="s">
        <v>502</v>
      </c>
      <c r="O26" s="186" t="s">
        <v>141</v>
      </c>
      <c r="Q26" s="212"/>
      <c r="R26" s="210" t="s">
        <v>502</v>
      </c>
      <c r="S26" s="210" t="s">
        <v>654</v>
      </c>
      <c r="T26" s="210" t="s">
        <v>655</v>
      </c>
      <c r="U26" s="210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142</v>
      </c>
      <c r="P27" s="13"/>
      <c r="Q27" s="212"/>
      <c r="R27" s="210" t="s">
        <v>502</v>
      </c>
      <c r="S27" s="210" t="s">
        <v>503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139</v>
      </c>
      <c r="D31" s="181" t="s">
        <v>255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143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254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144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358</v>
      </c>
      <c r="D34" s="154" t="s">
        <v>357</v>
      </c>
      <c r="E34" s="157" t="s">
        <v>3</v>
      </c>
      <c r="F34" s="157" t="s">
        <v>356</v>
      </c>
      <c r="G34" s="157" t="s">
        <v>347</v>
      </c>
      <c r="H34" s="157" t="s">
        <v>348</v>
      </c>
      <c r="I34" s="157"/>
      <c r="J34" s="157"/>
      <c r="K34" s="157"/>
      <c r="L34" s="157"/>
      <c r="M34" s="157"/>
      <c r="N34" s="157"/>
      <c r="O34" s="186" t="s">
        <v>141</v>
      </c>
      <c r="Q34" s="212"/>
      <c r="R34" s="68" t="s">
        <v>3</v>
      </c>
      <c r="S34" s="68" t="s">
        <v>356</v>
      </c>
      <c r="T34" s="68" t="s">
        <v>347</v>
      </c>
      <c r="U34" s="68" t="s">
        <v>348</v>
      </c>
      <c r="V34" s="68" t="s">
        <v>349</v>
      </c>
      <c r="W34" s="68" t="s">
        <v>350</v>
      </c>
      <c r="X34" s="68" t="s">
        <v>351</v>
      </c>
      <c r="Y34" s="68" t="s">
        <v>352</v>
      </c>
      <c r="Z34" s="68" t="s">
        <v>353</v>
      </c>
      <c r="AA34" s="68" t="s">
        <v>354</v>
      </c>
      <c r="AB34" s="68" t="s">
        <v>355</v>
      </c>
    </row>
    <row r="35" spans="2:28">
      <c r="B35" s="184"/>
      <c r="C35" s="188" t="s">
        <v>447</v>
      </c>
      <c r="D35" s="154" t="s">
        <v>446</v>
      </c>
      <c r="E35" s="157" t="s">
        <v>510</v>
      </c>
      <c r="F35" s="157" t="s">
        <v>510</v>
      </c>
      <c r="G35" s="157" t="s">
        <v>510</v>
      </c>
      <c r="H35" s="157" t="s">
        <v>510</v>
      </c>
      <c r="I35" s="163"/>
      <c r="J35" s="163"/>
      <c r="K35" s="163"/>
      <c r="L35" s="163"/>
      <c r="M35" s="163"/>
      <c r="N35" s="163"/>
      <c r="O35" s="186" t="s">
        <v>141</v>
      </c>
      <c r="Q35" s="212"/>
      <c r="R35" s="68" t="s">
        <v>510</v>
      </c>
      <c r="S35" s="68" t="s">
        <v>511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141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439</v>
      </c>
      <c r="D37" s="120" t="s">
        <v>537</v>
      </c>
      <c r="E37" s="163" t="s">
        <v>448</v>
      </c>
      <c r="F37" s="163" t="s">
        <v>448</v>
      </c>
      <c r="G37" s="163" t="s">
        <v>449</v>
      </c>
      <c r="H37" s="163" t="s">
        <v>449</v>
      </c>
      <c r="I37" s="163"/>
      <c r="J37" s="163"/>
      <c r="K37" s="163"/>
      <c r="L37" s="163"/>
      <c r="M37" s="163"/>
      <c r="N37" s="163"/>
      <c r="O37" s="186" t="s">
        <v>141</v>
      </c>
      <c r="Q37" s="212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266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346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>
      <c r="B48" s="194"/>
      <c r="C48" s="201" t="s">
        <v>345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359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512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143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514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144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136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Bückeburg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513</v>
      </c>
      <c r="D60" s="189"/>
      <c r="E60" s="161">
        <f>E25</f>
        <v>10335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140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141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139</v>
      </c>
      <c r="D65" s="181" t="s">
        <v>255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143</v>
      </c>
    </row>
    <row r="66" spans="2:15">
      <c r="B66" s="184"/>
      <c r="C66" s="185" t="s">
        <v>525</v>
      </c>
      <c r="D66" s="187" t="s">
        <v>254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144</v>
      </c>
    </row>
    <row r="68" spans="2:15">
      <c r="B68" s="184"/>
      <c r="C68" s="188" t="s">
        <v>358</v>
      </c>
      <c r="D68" s="154" t="s">
        <v>357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141</v>
      </c>
    </row>
    <row r="69" spans="2:15">
      <c r="B69" s="184"/>
      <c r="C69" s="188" t="s">
        <v>447</v>
      </c>
      <c r="D69" s="154" t="s">
        <v>446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141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141</v>
      </c>
    </row>
    <row r="71" spans="2:15">
      <c r="B71" s="184"/>
      <c r="C71" s="193" t="s">
        <v>439</v>
      </c>
      <c r="D71" s="120" t="s">
        <v>537</v>
      </c>
      <c r="E71" s="164" t="s">
        <v>449</v>
      </c>
      <c r="F71" s="164" t="s">
        <v>449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141</v>
      </c>
    </row>
    <row r="72" spans="2:15"/>
    <row r="73" spans="2:15" ht="15.75" customHeight="1">
      <c r="C73" s="356" t="s">
        <v>579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2" priority="28">
      <formula>IF(E$20&lt;=$F$18,1,0)</formula>
    </cfRule>
  </conditionalFormatting>
  <conditionalFormatting sqref="E33:N37">
    <cfRule type="expression" dxfId="51" priority="27">
      <formula>IF(E$31&lt;=$F$29,1,0)</formula>
    </cfRule>
  </conditionalFormatting>
  <conditionalFormatting sqref="E26:N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7:N60">
    <cfRule type="expression" dxfId="48" priority="22">
      <formula>IF(E$55&lt;=$F$53,1,0)</formula>
    </cfRule>
  </conditionalFormatting>
  <conditionalFormatting sqref="E61:N61">
    <cfRule type="expression" dxfId="47" priority="21">
      <formula>IF(E$55&lt;=$F$53,1,0)</formula>
    </cfRule>
  </conditionalFormatting>
  <conditionalFormatting sqref="E67:N69">
    <cfRule type="expression" dxfId="46" priority="15">
      <formula>IF(E$65&lt;=$F$63,1,0)</formula>
    </cfRule>
  </conditionalFormatting>
  <conditionalFormatting sqref="E66:N69 E71:N71">
    <cfRule type="expression" dxfId="45" priority="13">
      <formula>IF(E$65&gt;$F$63,1,0)</formula>
    </cfRule>
  </conditionalFormatting>
  <conditionalFormatting sqref="E57:N61">
    <cfRule type="expression" dxfId="44" priority="12">
      <formula>IF(E$55&gt;$F$53,1,0)</formula>
    </cfRule>
  </conditionalFormatting>
  <conditionalFormatting sqref="E21:N26">
    <cfRule type="expression" dxfId="43" priority="11">
      <formula>IF(E$20&gt;$F$18,1,0)</formula>
    </cfRule>
  </conditionalFormatting>
  <conditionalFormatting sqref="E33:N37">
    <cfRule type="expression" dxfId="42" priority="10">
      <formula>IF(E$31&gt;$F$29,1,0)</formula>
    </cfRule>
  </conditionalFormatting>
  <conditionalFormatting sqref="H11 H8:H9">
    <cfRule type="expression" dxfId="41" priority="9">
      <formula>IF($F$9=1,1,0)</formula>
    </cfRule>
  </conditionalFormatting>
  <conditionalFormatting sqref="E56:N56">
    <cfRule type="expression" dxfId="40" priority="8">
      <formula>IF(E$55&gt;$F$53,1,0)</formula>
    </cfRule>
  </conditionalFormatting>
  <conditionalFormatting sqref="E32:N32">
    <cfRule type="expression" dxfId="39" priority="7">
      <formula>IF(E$31&gt;$F$29,1,0)</formula>
    </cfRule>
  </conditionalFormatting>
  <conditionalFormatting sqref="E71:N71">
    <cfRule type="expression" dxfId="38" priority="6">
      <formula>IF(E$65&lt;=$F$63,1,0)</formula>
    </cfRule>
  </conditionalFormatting>
  <conditionalFormatting sqref="H10">
    <cfRule type="expression" dxfId="37" priority="5">
      <formula>IF($F$9=1,1,0)</formula>
    </cfRule>
  </conditionalFormatting>
  <conditionalFormatting sqref="E70:N70">
    <cfRule type="expression" dxfId="36" priority="2">
      <formula>IF(E$65&lt;=$F$63,1,0)</formula>
    </cfRule>
  </conditionalFormatting>
  <conditionalFormatting sqref="E70:N70">
    <cfRule type="expression" dxfId="35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SWSL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583</v>
      </c>
      <c r="D13" s="354"/>
      <c r="E13" s="354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444</v>
      </c>
      <c r="D14" s="355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5" t="s">
        <v>384</v>
      </c>
      <c r="D15" s="355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514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513</v>
      </c>
      <c r="D25" s="189"/>
      <c r="E25" s="161" t="s">
        <v>360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502</v>
      </c>
      <c r="F26" s="157" t="s">
        <v>502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358</v>
      </c>
      <c r="D33" s="154" t="s">
        <v>357</v>
      </c>
      <c r="E33" s="157" t="s">
        <v>3</v>
      </c>
      <c r="F33" s="157" t="s">
        <v>356</v>
      </c>
      <c r="G33" s="157" t="s">
        <v>347</v>
      </c>
      <c r="H33" s="157" t="s">
        <v>348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356</v>
      </c>
      <c r="T33" s="68" t="s">
        <v>347</v>
      </c>
      <c r="U33" s="68" t="s">
        <v>348</v>
      </c>
      <c r="V33" s="68" t="s">
        <v>349</v>
      </c>
      <c r="W33" s="68" t="s">
        <v>350</v>
      </c>
      <c r="X33" s="68" t="s">
        <v>351</v>
      </c>
      <c r="Y33" s="68" t="s">
        <v>352</v>
      </c>
      <c r="Z33" s="68" t="s">
        <v>353</v>
      </c>
      <c r="AA33" s="68" t="s">
        <v>354</v>
      </c>
      <c r="AB33" s="68" t="s">
        <v>355</v>
      </c>
    </row>
    <row r="34" spans="2:28">
      <c r="B34" s="184"/>
      <c r="C34" s="188" t="s">
        <v>447</v>
      </c>
      <c r="D34" s="154" t="s">
        <v>446</v>
      </c>
      <c r="E34" s="157" t="s">
        <v>510</v>
      </c>
      <c r="F34" s="157" t="s">
        <v>510</v>
      </c>
      <c r="G34" s="157" t="s">
        <v>510</v>
      </c>
      <c r="H34" s="157" t="s">
        <v>510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510</v>
      </c>
      <c r="S34" s="68" t="s">
        <v>511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141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439</v>
      </c>
      <c r="D36" s="120" t="s">
        <v>537</v>
      </c>
      <c r="E36" s="163" t="s">
        <v>448</v>
      </c>
      <c r="F36" s="163" t="s">
        <v>448</v>
      </c>
      <c r="G36" s="163" t="s">
        <v>449</v>
      </c>
      <c r="H36" s="163" t="s">
        <v>449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266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346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359</v>
      </c>
      <c r="K46" s="199"/>
      <c r="L46" s="199"/>
      <c r="M46" s="199"/>
      <c r="N46" s="199"/>
      <c r="O46" s="200"/>
    </row>
    <row r="47" spans="2:28">
      <c r="B47" s="194"/>
      <c r="C47" s="201" t="s">
        <v>345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512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514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513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525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358</v>
      </c>
      <c r="D67" s="154" t="s">
        <v>357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447</v>
      </c>
      <c r="D68" s="154" t="s">
        <v>446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439</v>
      </c>
      <c r="D70" s="120" t="s">
        <v>537</v>
      </c>
      <c r="E70" s="164" t="s">
        <v>449</v>
      </c>
      <c r="F70" s="164" t="s">
        <v>449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56" t="s">
        <v>579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28" sqref="J28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361</v>
      </c>
    </row>
    <row r="3" spans="2:26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366</v>
      </c>
      <c r="D5" s="54" t="str">
        <f>Netzbetreiber!$D$9</f>
        <v>Stadtwerke Schaumburg-Lippe GmbH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333</v>
      </c>
      <c r="D6" s="54" t="str">
        <f>Netzbetreiber!$D$28</f>
        <v>SWSL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484</v>
      </c>
      <c r="D7" s="54">
        <f>Netzbetreiber!$D$11</f>
        <v>9870005800007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43678</v>
      </c>
      <c r="E8" s="131"/>
      <c r="F8" s="131"/>
      <c r="H8" s="129" t="s">
        <v>492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491</v>
      </c>
      <c r="D10" s="135" t="s">
        <v>146</v>
      </c>
      <c r="E10" s="278" t="s">
        <v>509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493</v>
      </c>
      <c r="C11" s="141" t="s">
        <v>508</v>
      </c>
      <c r="D11" s="305" t="s">
        <v>247</v>
      </c>
      <c r="E11" s="165" t="s">
        <v>515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SWSL</v>
      </c>
      <c r="D12" s="63" t="s">
        <v>247</v>
      </c>
      <c r="E12" s="166" t="s">
        <v>23</v>
      </c>
      <c r="F12" s="308" t="s">
        <v>287</v>
      </c>
      <c r="H12" s="279">
        <v>3.1935978</v>
      </c>
      <c r="I12" s="279">
        <v>-37.414247799999998</v>
      </c>
      <c r="J12" s="279">
        <v>6.1824021</v>
      </c>
      <c r="K12" s="279">
        <v>8.1086000000000005E-2</v>
      </c>
      <c r="L12" s="352">
        <v>40</v>
      </c>
      <c r="M12" s="279">
        <v>0</v>
      </c>
      <c r="N12" s="279">
        <v>0</v>
      </c>
      <c r="O12" s="279">
        <v>0</v>
      </c>
      <c r="P12" s="279">
        <v>0</v>
      </c>
      <c r="Q12" s="353">
        <v>0.96123311186795624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SWSL</v>
      </c>
      <c r="D13" s="63" t="s">
        <v>247</v>
      </c>
      <c r="E13" s="166" t="s">
        <v>31</v>
      </c>
      <c r="F13" s="308" t="s">
        <v>295</v>
      </c>
      <c r="H13" s="279">
        <v>2.529738</v>
      </c>
      <c r="I13" s="279">
        <v>-35.0300145</v>
      </c>
      <c r="J13" s="279">
        <v>6.2051109000000002</v>
      </c>
      <c r="K13" s="279">
        <v>0.1058318</v>
      </c>
      <c r="L13" s="352">
        <v>40</v>
      </c>
      <c r="M13" s="279">
        <v>0</v>
      </c>
      <c r="N13" s="279">
        <v>0</v>
      </c>
      <c r="O13" s="279">
        <v>0</v>
      </c>
      <c r="P13" s="279">
        <v>0</v>
      </c>
      <c r="Q13" s="353">
        <v>1.0247084991768873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SWSL</v>
      </c>
      <c r="D14" s="63" t="s">
        <v>247</v>
      </c>
      <c r="E14" s="166" t="s">
        <v>665</v>
      </c>
      <c r="F14" s="308" t="str">
        <f>VLOOKUP($E14,'BDEW-Standard'!$B$3:$M$94,F$9,0)</f>
        <v>KO5</v>
      </c>
      <c r="H14" s="279">
        <f>ROUND(VLOOKUP($E14,'BDEW-Standard'!$B$3:$M$94,H$9,0),7)</f>
        <v>4.3624833000000001</v>
      </c>
      <c r="I14" s="279">
        <f>ROUND(VLOOKUP($E14,'BDEW-Standard'!$B$3:$M$94,I$9,0),7)</f>
        <v>-38.6634022</v>
      </c>
      <c r="J14" s="279">
        <f>ROUND(VLOOKUP($E14,'BDEW-Standard'!$B$3:$M$94,J$9,0),7)</f>
        <v>7.5974643999999998</v>
      </c>
      <c r="K14" s="279">
        <f>ROUND(VLOOKUP($E14,'BDEW-Standard'!$B$3:$M$94,K$9,0),7)</f>
        <v>8.3263999999999994E-3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ref="Q14:Q24" si="1">($H14/(1+($I14/($Q$9-$L14))^$J14)+$K14)+MAX($M14*$Q$9+$N14,$O14*$Q$9+$P14)</f>
        <v>0.84588853011795484</v>
      </c>
      <c r="R14" s="282">
        <f>ROUND(VLOOKUP(MID($E14,4,3),'Wochentag F(WT)'!$B$7:$J$22,R$9,0),4)</f>
        <v>1.0354000000000001</v>
      </c>
      <c r="S14" s="282">
        <f>ROUND(VLOOKUP(MID($E14,4,3),'Wochentag F(WT)'!$B$7:$J$22,S$9,0),4)</f>
        <v>1.0523</v>
      </c>
      <c r="T14" s="282">
        <f>ROUND(VLOOKUP(MID($E14,4,3),'Wochentag F(WT)'!$B$7:$J$22,T$9,0),4)</f>
        <v>1.0448999999999999</v>
      </c>
      <c r="U14" s="282">
        <f>ROUND(VLOOKUP(MID($E14,4,3),'Wochentag F(WT)'!$B$7:$J$22,U$9,0),4)</f>
        <v>1.0494000000000001</v>
      </c>
      <c r="V14" s="282">
        <f>ROUND(VLOOKUP(MID($E14,4,3),'Wochentag F(WT)'!$B$7:$J$22,V$9,0),4)</f>
        <v>0.98850000000000005</v>
      </c>
      <c r="W14" s="282">
        <f>ROUND(VLOOKUP(MID($E14,4,3),'Wochentag F(WT)'!$B$7:$J$22,W$9,0),4)</f>
        <v>0.88600000000000001</v>
      </c>
      <c r="X14" s="283">
        <f t="shared" ref="X14:X24" si="2">7-SUM(R14:W14)</f>
        <v>0.94349999999999934</v>
      </c>
      <c r="Y14" s="304"/>
      <c r="Z14" s="213"/>
    </row>
    <row r="15" spans="2:26" s="144" customFormat="1">
      <c r="B15" s="145">
        <v>4</v>
      </c>
      <c r="C15" s="146" t="str">
        <f t="shared" si="0"/>
        <v>SWSL</v>
      </c>
      <c r="D15" s="63" t="s">
        <v>247</v>
      </c>
      <c r="E15" s="166" t="s">
        <v>666</v>
      </c>
      <c r="F15" s="308" t="str">
        <f>VLOOKUP($E15,'BDEW-Standard'!$B$3:$M$94,F$9,0)</f>
        <v>HA5</v>
      </c>
      <c r="H15" s="279">
        <f>ROUND(VLOOKUP($E15,'BDEW-Standard'!$B$3:$M$94,H$9,0),7)</f>
        <v>4.8252376000000003</v>
      </c>
      <c r="I15" s="279">
        <f>ROUND(VLOOKUP($E15,'BDEW-Standard'!$B$3:$M$94,I$9,0),7)</f>
        <v>-39.280256399999999</v>
      </c>
      <c r="J15" s="279">
        <f>ROUND(VLOOKUP($E15,'BDEW-Standard'!$B$3:$M$94,J$9,0),7)</f>
        <v>8.6240217000000001</v>
      </c>
      <c r="K15" s="279">
        <f>ROUND(VLOOKUP($E15,'BDEW-Standard'!$B$3:$M$94,K$9,0),7)</f>
        <v>9.9944999999999999E-3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0.7135891999263051</v>
      </c>
      <c r="R15" s="282">
        <f>ROUND(VLOOKUP(MID($E15,4,3),'Wochentag F(WT)'!$B$7:$J$22,R$9,0),4)</f>
        <v>1.0358000000000001</v>
      </c>
      <c r="S15" s="282">
        <f>ROUND(VLOOKUP(MID($E15,4,3),'Wochentag F(WT)'!$B$7:$J$22,S$9,0),4)</f>
        <v>1.0232000000000001</v>
      </c>
      <c r="T15" s="282">
        <f>ROUND(VLOOKUP(MID($E15,4,3),'Wochentag F(WT)'!$B$7:$J$22,T$9,0),4)</f>
        <v>1.0251999999999999</v>
      </c>
      <c r="U15" s="282">
        <f>ROUND(VLOOKUP(MID($E15,4,3),'Wochentag F(WT)'!$B$7:$J$22,U$9,0),4)</f>
        <v>1.0295000000000001</v>
      </c>
      <c r="V15" s="282">
        <f>ROUND(VLOOKUP(MID($E15,4,3),'Wochentag F(WT)'!$B$7:$J$22,V$9,0),4)</f>
        <v>1.0253000000000001</v>
      </c>
      <c r="W15" s="282">
        <f>ROUND(VLOOKUP(MID($E15,4,3),'Wochentag F(WT)'!$B$7:$J$22,W$9,0),4)</f>
        <v>0.96750000000000003</v>
      </c>
      <c r="X15" s="283">
        <f t="shared" si="2"/>
        <v>0.89350000000000041</v>
      </c>
      <c r="Y15" s="304"/>
      <c r="Z15" s="213"/>
    </row>
    <row r="16" spans="2:26" s="144" customFormat="1">
      <c r="B16" s="145">
        <v>5</v>
      </c>
      <c r="C16" s="146" t="str">
        <f t="shared" si="0"/>
        <v>SWSL</v>
      </c>
      <c r="D16" s="63" t="s">
        <v>247</v>
      </c>
      <c r="E16" s="166" t="s">
        <v>667</v>
      </c>
      <c r="F16" s="308" t="str">
        <f>VLOOKUP($E16,'BDEW-Standard'!$B$3:$M$94,F$9,0)</f>
        <v>MK5</v>
      </c>
      <c r="H16" s="279">
        <f>ROUND(VLOOKUP($E16,'BDEW-Standard'!$B$3:$M$94,H$9,0),7)</f>
        <v>3.5862354999999999</v>
      </c>
      <c r="I16" s="279">
        <f>ROUND(VLOOKUP($E16,'BDEW-Standard'!$B$3:$M$94,I$9,0),7)</f>
        <v>-37.080299400000001</v>
      </c>
      <c r="J16" s="279">
        <f>ROUND(VLOOKUP($E16,'BDEW-Standard'!$B$3:$M$94,J$9,0),7)</f>
        <v>8.2420571999999996</v>
      </c>
      <c r="K16" s="279">
        <f>ROUND(VLOOKUP($E16,'BDEW-Standard'!$B$3:$M$94,K$9,0),7)</f>
        <v>1.4600800000000001E-2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0.83553215880324316</v>
      </c>
      <c r="R16" s="282">
        <f>ROUND(VLOOKUP(MID($E16,4,3),'Wochentag F(WT)'!$B$7:$J$22,R$9,0),4)</f>
        <v>1.0699000000000001</v>
      </c>
      <c r="S16" s="282">
        <f>ROUND(VLOOKUP(MID($E16,4,3),'Wochentag F(WT)'!$B$7:$J$22,S$9,0),4)</f>
        <v>1.0365</v>
      </c>
      <c r="T16" s="282">
        <f>ROUND(VLOOKUP(MID($E16,4,3),'Wochentag F(WT)'!$B$7:$J$22,T$9,0),4)</f>
        <v>0.99329999999999996</v>
      </c>
      <c r="U16" s="282">
        <f>ROUND(VLOOKUP(MID($E16,4,3),'Wochentag F(WT)'!$B$7:$J$22,U$9,0),4)</f>
        <v>0.99480000000000002</v>
      </c>
      <c r="V16" s="282">
        <f>ROUND(VLOOKUP(MID($E16,4,3),'Wochentag F(WT)'!$B$7:$J$22,V$9,0),4)</f>
        <v>1.0659000000000001</v>
      </c>
      <c r="W16" s="282">
        <f>ROUND(VLOOKUP(MID($E16,4,3),'Wochentag F(WT)'!$B$7:$J$22,W$9,0),4)</f>
        <v>0.93620000000000003</v>
      </c>
      <c r="X16" s="283">
        <f t="shared" si="2"/>
        <v>0.90339999999999954</v>
      </c>
      <c r="Y16" s="304"/>
      <c r="Z16" s="213"/>
    </row>
    <row r="17" spans="2:26" s="144" customFormat="1">
      <c r="B17" s="145">
        <v>6</v>
      </c>
      <c r="C17" s="146" t="str">
        <f t="shared" si="0"/>
        <v>SWSL</v>
      </c>
      <c r="D17" s="63" t="s">
        <v>247</v>
      </c>
      <c r="E17" s="166" t="s">
        <v>668</v>
      </c>
      <c r="F17" s="308" t="str">
        <f>VLOOKUP($E17,'BDEW-Standard'!$B$3:$M$94,F$9,0)</f>
        <v>BD5</v>
      </c>
      <c r="H17" s="279">
        <f>ROUND(VLOOKUP($E17,'BDEW-Standard'!$B$3:$M$94,H$9,0),7)</f>
        <v>4.5699506000000003</v>
      </c>
      <c r="I17" s="279">
        <f>ROUND(VLOOKUP($E17,'BDEW-Standard'!$B$3:$M$94,I$9,0),7)</f>
        <v>-38.535339200000003</v>
      </c>
      <c r="J17" s="279">
        <f>ROUND(VLOOKUP($E17,'BDEW-Standard'!$B$3:$M$94,J$9,0),7)</f>
        <v>7.5976990999999998</v>
      </c>
      <c r="K17" s="279">
        <f>ROUND(VLOOKUP($E17,'BDEW-Standard'!$B$3:$M$94,K$9,0),7)</f>
        <v>6.6314E-3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0.90200299693660235</v>
      </c>
      <c r="R17" s="282">
        <f>ROUND(VLOOKUP(MID($E17,4,3),'Wochentag F(WT)'!$B$7:$J$22,R$9,0),4)</f>
        <v>1.1052</v>
      </c>
      <c r="S17" s="282">
        <f>ROUND(VLOOKUP(MID($E17,4,3),'Wochentag F(WT)'!$B$7:$J$22,S$9,0),4)</f>
        <v>1.0857000000000001</v>
      </c>
      <c r="T17" s="282">
        <f>ROUND(VLOOKUP(MID($E17,4,3),'Wochentag F(WT)'!$B$7:$J$22,T$9,0),4)</f>
        <v>1.0378000000000001</v>
      </c>
      <c r="U17" s="282">
        <f>ROUND(VLOOKUP(MID($E17,4,3),'Wochentag F(WT)'!$B$7:$J$22,U$9,0),4)</f>
        <v>1.0622</v>
      </c>
      <c r="V17" s="282">
        <f>ROUND(VLOOKUP(MID($E17,4,3),'Wochentag F(WT)'!$B$7:$J$22,V$9,0),4)</f>
        <v>1.0266</v>
      </c>
      <c r="W17" s="282">
        <f>ROUND(VLOOKUP(MID($E17,4,3),'Wochentag F(WT)'!$B$7:$J$22,W$9,0),4)</f>
        <v>0.76290000000000002</v>
      </c>
      <c r="X17" s="283">
        <f t="shared" si="2"/>
        <v>0.91959999999999997</v>
      </c>
      <c r="Y17" s="304"/>
      <c r="Z17" s="213"/>
    </row>
    <row r="18" spans="2:26" s="144" customFormat="1">
      <c r="B18" s="145">
        <v>7</v>
      </c>
      <c r="C18" s="146" t="str">
        <f t="shared" si="0"/>
        <v>SWSL</v>
      </c>
      <c r="D18" s="63" t="s">
        <v>247</v>
      </c>
      <c r="E18" s="166" t="s">
        <v>669</v>
      </c>
      <c r="F18" s="308" t="str">
        <f>VLOOKUP($E18,'BDEW-Standard'!$B$3:$M$94,F$9,0)</f>
        <v>BH5</v>
      </c>
      <c r="H18" s="279">
        <f>ROUND(VLOOKUP($E18,'BDEW-Standard'!$B$3:$M$94,H$9,0),7)</f>
        <v>2.98</v>
      </c>
      <c r="I18" s="279">
        <f>ROUND(VLOOKUP($E18,'BDEW-Standard'!$B$3:$M$94,I$9,0),7)</f>
        <v>-35.799999999999997</v>
      </c>
      <c r="J18" s="279">
        <f>ROUND(VLOOKUP($E18,'BDEW-Standard'!$B$3:$M$94,J$9,0),7)</f>
        <v>5.6340580999999998</v>
      </c>
      <c r="K18" s="279">
        <f>ROUND(VLOOKUP($E18,'BDEW-Standard'!$B$3:$M$94,K$9,0),7)</f>
        <v>0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1.0340893561256006</v>
      </c>
      <c r="R18" s="282">
        <f>ROUND(VLOOKUP(MID($E18,4,3),'Wochentag F(WT)'!$B$7:$J$22,R$9,0),4)</f>
        <v>0.97670000000000001</v>
      </c>
      <c r="S18" s="282">
        <f>ROUND(VLOOKUP(MID($E18,4,3),'Wochentag F(WT)'!$B$7:$J$22,S$9,0),4)</f>
        <v>1.0388999999999999</v>
      </c>
      <c r="T18" s="282">
        <f>ROUND(VLOOKUP(MID($E18,4,3),'Wochentag F(WT)'!$B$7:$J$22,T$9,0),4)</f>
        <v>1.0027999999999999</v>
      </c>
      <c r="U18" s="282">
        <f>ROUND(VLOOKUP(MID($E18,4,3),'Wochentag F(WT)'!$B$7:$J$22,U$9,0),4)</f>
        <v>1.0162</v>
      </c>
      <c r="V18" s="282">
        <f>ROUND(VLOOKUP(MID($E18,4,3),'Wochentag F(WT)'!$B$7:$J$22,V$9,0),4)</f>
        <v>1.0024</v>
      </c>
      <c r="W18" s="282">
        <f>ROUND(VLOOKUP(MID($E18,4,3),'Wochentag F(WT)'!$B$7:$J$22,W$9,0),4)</f>
        <v>1.0043</v>
      </c>
      <c r="X18" s="283">
        <f t="shared" si="2"/>
        <v>0.95870000000000122</v>
      </c>
      <c r="Y18" s="304"/>
      <c r="Z18" s="213"/>
    </row>
    <row r="19" spans="2:26" s="144" customFormat="1">
      <c r="B19" s="145">
        <v>8</v>
      </c>
      <c r="C19" s="146" t="str">
        <f t="shared" si="0"/>
        <v>SWSL</v>
      </c>
      <c r="D19" s="63" t="s">
        <v>247</v>
      </c>
      <c r="E19" s="166" t="s">
        <v>670</v>
      </c>
      <c r="F19" s="308" t="str">
        <f>VLOOKUP($E19,'BDEW-Standard'!$B$3:$M$94,F$9,0)</f>
        <v>GA5</v>
      </c>
      <c r="H19" s="279">
        <f>ROUND(VLOOKUP($E19,'BDEW-Standard'!$B$3:$M$94,H$9,0),7)</f>
        <v>3.3295574999999999</v>
      </c>
      <c r="I19" s="279">
        <f>ROUND(VLOOKUP($E19,'BDEW-Standard'!$B$3:$M$94,I$9,0),7)</f>
        <v>-36.014621099999999</v>
      </c>
      <c r="J19" s="279">
        <f>ROUND(VLOOKUP($E19,'BDEW-Standard'!$B$3:$M$94,J$9,0),7)</f>
        <v>8.7767464999999998</v>
      </c>
      <c r="K19" s="279">
        <f>ROUND(VLOOKUP($E19,'BDEW-Standard'!$B$3:$M$94,K$9,0),7)</f>
        <v>0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0.87123951295728519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SWSL</v>
      </c>
      <c r="D20" s="63" t="s">
        <v>247</v>
      </c>
      <c r="E20" s="166" t="s">
        <v>671</v>
      </c>
      <c r="F20" s="308" t="str">
        <f>VLOOKUP($E20,'BDEW-Standard'!$B$3:$M$94,F$9,0)</f>
        <v>BA5</v>
      </c>
      <c r="H20" s="279">
        <f>ROUND(VLOOKUP($E20,'BDEW-Standard'!$B$3:$M$94,H$9,0),7)</f>
        <v>1.2779567000000001</v>
      </c>
      <c r="I20" s="279">
        <f>ROUND(VLOOKUP($E20,'BDEW-Standard'!$B$3:$M$94,I$9,0),7)</f>
        <v>-34.517392000000001</v>
      </c>
      <c r="J20" s="279">
        <f>ROUND(VLOOKUP($E20,'BDEW-Standard'!$B$3:$M$94,J$9,0),7)</f>
        <v>5.7212303000000002</v>
      </c>
      <c r="K20" s="279">
        <f>ROUND(VLOOKUP($E20,'BDEW-Standard'!$B$3:$M$94,K$9,0),7)</f>
        <v>0.54573329999999998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1.0484170386064726</v>
      </c>
      <c r="R20" s="282">
        <f>ROUND(VLOOKUP(MID($E20,4,3),'Wochentag F(WT)'!$B$7:$J$22,R$9,0),4)</f>
        <v>1.0848</v>
      </c>
      <c r="S20" s="282">
        <f>ROUND(VLOOKUP(MID($E20,4,3),'Wochentag F(WT)'!$B$7:$J$22,S$9,0),4)</f>
        <v>1.1211</v>
      </c>
      <c r="T20" s="282">
        <f>ROUND(VLOOKUP(MID($E20,4,3),'Wochentag F(WT)'!$B$7:$J$22,T$9,0),4)</f>
        <v>1.0769</v>
      </c>
      <c r="U20" s="282">
        <f>ROUND(VLOOKUP(MID($E20,4,3),'Wochentag F(WT)'!$B$7:$J$22,U$9,0),4)</f>
        <v>1.1353</v>
      </c>
      <c r="V20" s="282">
        <f>ROUND(VLOOKUP(MID($E20,4,3),'Wochentag F(WT)'!$B$7:$J$22,V$9,0),4)</f>
        <v>1.1402000000000001</v>
      </c>
      <c r="W20" s="282">
        <f>ROUND(VLOOKUP(MID($E20,4,3),'Wochentag F(WT)'!$B$7:$J$22,W$9,0),4)</f>
        <v>0.48520000000000002</v>
      </c>
      <c r="X20" s="283">
        <f t="shared" si="2"/>
        <v>0.95650000000000013</v>
      </c>
      <c r="Y20" s="304"/>
      <c r="Z20" s="213"/>
    </row>
    <row r="21" spans="2:26" s="144" customFormat="1">
      <c r="B21" s="145">
        <v>10</v>
      </c>
      <c r="C21" s="146" t="str">
        <f t="shared" si="0"/>
        <v>SWSL</v>
      </c>
      <c r="D21" s="63" t="s">
        <v>247</v>
      </c>
      <c r="E21" s="166" t="s">
        <v>672</v>
      </c>
      <c r="F21" s="308" t="str">
        <f>VLOOKUP($E21,'BDEW-Standard'!$B$3:$M$94,F$9,0)</f>
        <v>WA5</v>
      </c>
      <c r="H21" s="279">
        <f>ROUND(VLOOKUP($E21,'BDEW-Standard'!$B$3:$M$94,H$9,0),7)</f>
        <v>1.2768854000000001</v>
      </c>
      <c r="I21" s="279">
        <f>ROUND(VLOOKUP($E21,'BDEW-Standard'!$B$3:$M$94,I$9,0),7)</f>
        <v>-34.342437099999998</v>
      </c>
      <c r="J21" s="279">
        <f>ROUND(VLOOKUP($E21,'BDEW-Standard'!$B$3:$M$94,J$9,0),7)</f>
        <v>5.4518822</v>
      </c>
      <c r="K21" s="279">
        <f>ROUND(VLOOKUP($E21,'BDEW-Standard'!$B$3:$M$94,K$9,0),7)</f>
        <v>0.55726600000000004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1.0742572390606009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SWSL</v>
      </c>
      <c r="D22" s="63" t="s">
        <v>247</v>
      </c>
      <c r="E22" s="166" t="s">
        <v>673</v>
      </c>
      <c r="F22" s="308" t="str">
        <f>VLOOKUP($E22,'BDEW-Standard'!$B$3:$M$94,F$9,0)</f>
        <v>GB5</v>
      </c>
      <c r="H22" s="279">
        <f>ROUND(VLOOKUP($E22,'BDEW-Standard'!$B$3:$M$94,H$9,0),7)</f>
        <v>3.9320531999999999</v>
      </c>
      <c r="I22" s="279">
        <f>ROUND(VLOOKUP($E22,'BDEW-Standard'!$B$3:$M$94,I$9,0),7)</f>
        <v>-38.143324800000002</v>
      </c>
      <c r="J22" s="279">
        <f>ROUND(VLOOKUP($E22,'BDEW-Standard'!$B$3:$M$94,J$9,0),7)</f>
        <v>7.6185871000000001</v>
      </c>
      <c r="K22" s="279">
        <f>ROUND(VLOOKUP($E22,'BDEW-Standard'!$B$3:$M$94,K$9,0),7)</f>
        <v>2.30297E-2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0.84030497703104434</v>
      </c>
      <c r="R22" s="282">
        <f>ROUND(VLOOKUP(MID($E22,4,3),'Wochentag F(WT)'!$B$7:$J$22,R$9,0),4)</f>
        <v>0.98970000000000002</v>
      </c>
      <c r="S22" s="282">
        <f>ROUND(VLOOKUP(MID($E22,4,3),'Wochentag F(WT)'!$B$7:$J$22,S$9,0),4)</f>
        <v>0.9627</v>
      </c>
      <c r="T22" s="282">
        <f>ROUND(VLOOKUP(MID($E22,4,3),'Wochentag F(WT)'!$B$7:$J$22,T$9,0),4)</f>
        <v>1.0507</v>
      </c>
      <c r="U22" s="282">
        <f>ROUND(VLOOKUP(MID($E22,4,3),'Wochentag F(WT)'!$B$7:$J$22,U$9,0),4)</f>
        <v>1.0551999999999999</v>
      </c>
      <c r="V22" s="282">
        <f>ROUND(VLOOKUP(MID($E22,4,3),'Wochentag F(WT)'!$B$7:$J$22,V$9,0),4)</f>
        <v>1.0297000000000001</v>
      </c>
      <c r="W22" s="282">
        <f>ROUND(VLOOKUP(MID($E22,4,3),'Wochentag F(WT)'!$B$7:$J$22,W$9,0),4)</f>
        <v>0.97670000000000001</v>
      </c>
      <c r="X22" s="283">
        <f t="shared" si="2"/>
        <v>0.9352999999999998</v>
      </c>
      <c r="Y22" s="304"/>
      <c r="Z22" s="213"/>
    </row>
    <row r="23" spans="2:26" s="144" customFormat="1">
      <c r="B23" s="145">
        <v>12</v>
      </c>
      <c r="C23" s="146" t="str">
        <f t="shared" si="0"/>
        <v>SWSL</v>
      </c>
      <c r="D23" s="63" t="s">
        <v>247</v>
      </c>
      <c r="E23" s="166" t="s">
        <v>674</v>
      </c>
      <c r="F23" s="308" t="str">
        <f>VLOOKUP($E23,'BDEW-Standard'!$B$3:$M$94,F$9,0)</f>
        <v>PD5</v>
      </c>
      <c r="H23" s="279">
        <f>ROUND(VLOOKUP($E23,'BDEW-Standard'!$B$3:$M$94,H$9,0),7)</f>
        <v>4.7462814</v>
      </c>
      <c r="I23" s="279">
        <f>ROUND(VLOOKUP($E23,'BDEW-Standard'!$B$3:$M$94,I$9,0),7)</f>
        <v>-38.750429400000002</v>
      </c>
      <c r="J23" s="279">
        <f>ROUND(VLOOKUP($E23,'BDEW-Standard'!$B$3:$M$94,J$9,0),7)</f>
        <v>10.275333399999999</v>
      </c>
      <c r="K23" s="279">
        <f>ROUND(VLOOKUP($E23,'BDEW-Standard'!$B$3:$M$94,K$9,0),7)</f>
        <v>0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0.58254597027316624</v>
      </c>
      <c r="R23" s="282">
        <f>ROUND(VLOOKUP(MID($E23,4,3),'Wochentag F(WT)'!$B$7:$J$22,R$9,0),4)</f>
        <v>1.0214000000000001</v>
      </c>
      <c r="S23" s="282">
        <f>ROUND(VLOOKUP(MID($E23,4,3),'Wochentag F(WT)'!$B$7:$J$22,S$9,0),4)</f>
        <v>1.0866</v>
      </c>
      <c r="T23" s="282">
        <f>ROUND(VLOOKUP(MID($E23,4,3),'Wochentag F(WT)'!$B$7:$J$22,T$9,0),4)</f>
        <v>1.0720000000000001</v>
      </c>
      <c r="U23" s="282">
        <f>ROUND(VLOOKUP(MID($E23,4,3),'Wochentag F(WT)'!$B$7:$J$22,U$9,0),4)</f>
        <v>1.0557000000000001</v>
      </c>
      <c r="V23" s="282">
        <f>ROUND(VLOOKUP(MID($E23,4,3),'Wochentag F(WT)'!$B$7:$J$22,V$9,0),4)</f>
        <v>1.0117</v>
      </c>
      <c r="W23" s="282">
        <f>ROUND(VLOOKUP(MID($E23,4,3),'Wochentag F(WT)'!$B$7:$J$22,W$9,0),4)</f>
        <v>0.90010000000000001</v>
      </c>
      <c r="X23" s="283">
        <f t="shared" si="2"/>
        <v>0.85249999999999915</v>
      </c>
      <c r="Y23" s="304"/>
      <c r="Z23" s="213"/>
    </row>
    <row r="24" spans="2:26" s="144" customFormat="1">
      <c r="B24" s="145">
        <v>13</v>
      </c>
      <c r="C24" s="146" t="str">
        <f t="shared" si="0"/>
        <v>SWSL</v>
      </c>
      <c r="D24" s="63" t="s">
        <v>247</v>
      </c>
      <c r="E24" s="166" t="s">
        <v>675</v>
      </c>
      <c r="F24" s="308" t="str">
        <f>VLOOKUP($E24,'BDEW-Standard'!$B$3:$M$94,F$9,0)</f>
        <v>MF5</v>
      </c>
      <c r="H24" s="279">
        <f>ROUND(VLOOKUP($E24,'BDEW-Standard'!$B$3:$M$94,H$9,0),7)</f>
        <v>2.6564405999999998</v>
      </c>
      <c r="I24" s="279">
        <f>ROUND(VLOOKUP($E24,'BDEW-Standard'!$B$3:$M$94,I$9,0),7)</f>
        <v>-35.2516927</v>
      </c>
      <c r="J24" s="279">
        <f>ROUND(VLOOKUP($E24,'BDEW-Standard'!$B$3:$M$94,J$9,0),7)</f>
        <v>6.5182659000000003</v>
      </c>
      <c r="K24" s="279">
        <f>ROUND(VLOOKUP($E24,'BDEW-Standard'!$B$3:$M$94,K$9,0),7)</f>
        <v>8.1205899999999998E-2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1.0038516847509584</v>
      </c>
      <c r="R24" s="282">
        <f>ROUND(VLOOKUP(MID($E24,4,3),'Wochentag F(WT)'!$B$7:$J$22,R$9,0),4)</f>
        <v>1.0354000000000001</v>
      </c>
      <c r="S24" s="282">
        <f>ROUND(VLOOKUP(MID($E24,4,3),'Wochentag F(WT)'!$B$7:$J$22,S$9,0),4)</f>
        <v>1.0523</v>
      </c>
      <c r="T24" s="282">
        <f>ROUND(VLOOKUP(MID($E24,4,3),'Wochentag F(WT)'!$B$7:$J$22,T$9,0),4)</f>
        <v>1.0448999999999999</v>
      </c>
      <c r="U24" s="282">
        <f>ROUND(VLOOKUP(MID($E24,4,3),'Wochentag F(WT)'!$B$7:$J$22,U$9,0),4)</f>
        <v>1.0494000000000001</v>
      </c>
      <c r="V24" s="282">
        <f>ROUND(VLOOKUP(MID($E24,4,3),'Wochentag F(WT)'!$B$7:$J$22,V$9,0),4)</f>
        <v>0.98850000000000005</v>
      </c>
      <c r="W24" s="282">
        <f>ROUND(VLOOKUP(MID($E24,4,3),'Wochentag F(WT)'!$B$7:$J$22,W$9,0),4)</f>
        <v>0.88600000000000001</v>
      </c>
      <c r="X24" s="283">
        <f t="shared" si="2"/>
        <v>0.94349999999999934</v>
      </c>
      <c r="Y24" s="304"/>
      <c r="Z24" s="213"/>
    </row>
    <row r="25" spans="2:26" s="144" customFormat="1">
      <c r="B25" s="145">
        <v>14</v>
      </c>
      <c r="C25" s="146" t="str">
        <f t="shared" si="0"/>
        <v>SWSL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SWSL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SWSL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SWSL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SWSL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SWSL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SWSL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SWSL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SWSL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SWSL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SWSL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SWSL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SWSL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SWSL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SWSL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SWSL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SWSL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11 H14:Y41 Y12:Y13">
    <cfRule type="expression" dxfId="16" priority="15">
      <formula>ISERROR(F11)</formula>
    </cfRule>
  </conditionalFormatting>
  <conditionalFormatting sqref="E25:F41 Y12:Y41 F12:F24">
    <cfRule type="duplicateValues" dxfId="15" priority="37"/>
  </conditionalFormatting>
  <conditionalFormatting sqref="E14:E24">
    <cfRule type="duplicateValues" dxfId="14" priority="6"/>
  </conditionalFormatting>
  <conditionalFormatting sqref="E13">
    <cfRule type="duplicateValues" dxfId="13" priority="5"/>
  </conditionalFormatting>
  <conditionalFormatting sqref="E12">
    <cfRule type="duplicateValues" dxfId="12" priority="4"/>
  </conditionalFormatting>
  <conditionalFormatting sqref="H12:K13 M12:P13 R12:X13">
    <cfRule type="expression" dxfId="11" priority="3">
      <formula>ISERROR(H12)</formula>
    </cfRule>
  </conditionalFormatting>
  <conditionalFormatting sqref="L12:L13">
    <cfRule type="expression" dxfId="10" priority="2">
      <formula>ISERROR(L12)</formula>
    </cfRule>
  </conditionalFormatting>
  <conditionalFormatting sqref="Q12:Q13">
    <cfRule type="expression" dxfId="9" priority="1">
      <formula>ISERROR(Q12)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8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E25:E41</xm:sqref>
        </x14:dataValidation>
        <x14:dataValidation type="list" allowBlank="1" showInputMessage="1" showErrorMessage="1">
          <x14:formula1>
            <xm:f>'BDEW-Standard'!$B$3:$B$94</xm:f>
          </x14:formula1>
          <xm:sqref>E25:E26</xm:sqref>
        </x14:dataValidation>
        <x14:dataValidation type="list" allowBlank="1" showInputMessage="1" showErrorMessage="1">
          <x14:formula1>
            <xm:f>'[SWSL-Excel-TabelleVerfahrensspezifische-SLP-ParameterStand-17.09.2015.xlsx]BDEW-Standard'!#REF!</xm:f>
          </x14:formula1>
          <xm:sqref>E12:E24</xm:sqref>
        </x14:dataValidation>
        <x14:dataValidation type="list" errorStyle="information" allowBlank="1" showInputMessage="1" showErrorMessage="1" errorTitle="Achtung!" error="keine BDEW Nomenklatur">
          <x14:formula1>
            <xm:f>'[SWSL-Excel-TabelleVerfahrensspezifische-SLP-ParameterStand-17.09.2015.xlsx]BDEW-Standard'!#REF!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343</v>
      </c>
      <c r="B1" s="217">
        <v>42173</v>
      </c>
      <c r="D1" s="132" t="s">
        <v>450</v>
      </c>
      <c r="F1" s="218" t="s">
        <v>544</v>
      </c>
      <c r="N1" s="219"/>
    </row>
    <row r="2" spans="1:14" ht="25.5">
      <c r="A2" s="220" t="s">
        <v>267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313</v>
      </c>
      <c r="D95" s="236" t="s">
        <v>268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318</v>
      </c>
      <c r="D96" s="236" t="s">
        <v>268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323</v>
      </c>
      <c r="D97" s="236" t="s">
        <v>268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328</v>
      </c>
      <c r="D98" s="236" t="s">
        <v>268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281</v>
      </c>
      <c r="D99" s="236" t="s">
        <v>268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285</v>
      </c>
      <c r="D100" s="236" t="s">
        <v>268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289</v>
      </c>
      <c r="D101" s="236" t="s">
        <v>268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293</v>
      </c>
      <c r="D102" s="236" t="s">
        <v>268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297</v>
      </c>
      <c r="D103" s="236" t="s">
        <v>268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301</v>
      </c>
      <c r="D104" s="236" t="s">
        <v>268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305</v>
      </c>
      <c r="D105" s="236" t="s">
        <v>268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309</v>
      </c>
      <c r="D106" s="236" t="s">
        <v>268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314</v>
      </c>
      <c r="D107" s="236" t="s">
        <v>268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319</v>
      </c>
      <c r="D108" s="236" t="s">
        <v>268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324</v>
      </c>
      <c r="D109" s="236" t="s">
        <v>268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329</v>
      </c>
      <c r="D110" s="236" t="s">
        <v>268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269</v>
      </c>
      <c r="D111" s="236" t="s">
        <v>268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270</v>
      </c>
      <c r="D112" s="236" t="s">
        <v>268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271</v>
      </c>
      <c r="D113" s="236" t="s">
        <v>268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272</v>
      </c>
      <c r="D114" s="236" t="s">
        <v>268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282</v>
      </c>
      <c r="D115" s="236" t="s">
        <v>268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286</v>
      </c>
      <c r="D116" s="236" t="s">
        <v>268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290</v>
      </c>
      <c r="D117" s="236" t="s">
        <v>268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294</v>
      </c>
      <c r="D118" s="236" t="s">
        <v>268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273</v>
      </c>
      <c r="D119" s="236" t="s">
        <v>268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275</v>
      </c>
      <c r="D120" s="236" t="s">
        <v>268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277</v>
      </c>
      <c r="D121" s="236" t="s">
        <v>268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279</v>
      </c>
      <c r="D122" s="236" t="s">
        <v>268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315</v>
      </c>
      <c r="D123" s="236" t="s">
        <v>268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320</v>
      </c>
      <c r="D124" s="236" t="s">
        <v>268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325</v>
      </c>
      <c r="D125" s="236" t="s">
        <v>268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330</v>
      </c>
      <c r="D126" s="236" t="s">
        <v>268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283</v>
      </c>
      <c r="D127" s="236" t="s">
        <v>268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287</v>
      </c>
      <c r="D128" s="236" t="s">
        <v>268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291</v>
      </c>
      <c r="D129" s="236" t="s">
        <v>268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295</v>
      </c>
      <c r="D130" s="236" t="s">
        <v>268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284</v>
      </c>
      <c r="D131" s="236" t="s">
        <v>268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288</v>
      </c>
      <c r="D132" s="236" t="s">
        <v>268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292</v>
      </c>
      <c r="D133" s="236" t="s">
        <v>268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296</v>
      </c>
      <c r="D134" s="236" t="s">
        <v>268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298</v>
      </c>
      <c r="D135" s="236" t="s">
        <v>268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302</v>
      </c>
      <c r="D136" s="236" t="s">
        <v>268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306</v>
      </c>
      <c r="D137" s="236" t="s">
        <v>268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310</v>
      </c>
      <c r="D138" s="236" t="s">
        <v>268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299</v>
      </c>
      <c r="D139" s="236" t="s">
        <v>268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303</v>
      </c>
      <c r="D140" s="236" t="s">
        <v>268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307</v>
      </c>
      <c r="D141" s="236" t="s">
        <v>268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311</v>
      </c>
      <c r="D142" s="236" t="s">
        <v>268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274</v>
      </c>
      <c r="D143" s="236" t="s">
        <v>268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276</v>
      </c>
      <c r="D144" s="236" t="s">
        <v>268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278</v>
      </c>
      <c r="D145" s="236" t="s">
        <v>268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280</v>
      </c>
      <c r="D146" s="236" t="s">
        <v>268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300</v>
      </c>
      <c r="D147" s="236" t="s">
        <v>268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304</v>
      </c>
      <c r="D148" s="236" t="s">
        <v>268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308</v>
      </c>
      <c r="D149" s="236" t="s">
        <v>268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312</v>
      </c>
      <c r="D150" s="236" t="s">
        <v>268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316</v>
      </c>
      <c r="D151" s="236" t="s">
        <v>268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321</v>
      </c>
      <c r="D152" s="236" t="s">
        <v>268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326</v>
      </c>
      <c r="D153" s="236" t="s">
        <v>268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331</v>
      </c>
      <c r="D154" s="236" t="s">
        <v>268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317</v>
      </c>
      <c r="D155" s="236" t="s">
        <v>268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322</v>
      </c>
      <c r="D156" s="236" t="s">
        <v>268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327</v>
      </c>
      <c r="D157" s="236" t="s">
        <v>268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332</v>
      </c>
      <c r="D158" s="236" t="s">
        <v>268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G8" sqref="G8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>Stadtwerke Schaumburg-Lippe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SWSL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>
        <f>Netzbetreiber!$D$11</f>
        <v>9870005800007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43678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7" t="s">
        <v>454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368</v>
      </c>
      <c r="O9" s="93" t="s">
        <v>369</v>
      </c>
      <c r="P9" s="93" t="s">
        <v>370</v>
      </c>
      <c r="Q9" s="93" t="s">
        <v>371</v>
      </c>
      <c r="R9" s="93" t="s">
        <v>372</v>
      </c>
      <c r="S9" s="93" t="s">
        <v>373</v>
      </c>
      <c r="T9" s="93" t="s">
        <v>374</v>
      </c>
      <c r="U9" s="93" t="s">
        <v>375</v>
      </c>
      <c r="V9" s="93" t="s">
        <v>376</v>
      </c>
      <c r="W9" s="93" t="s">
        <v>377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62" t="s">
        <v>582</v>
      </c>
      <c r="C10" s="363"/>
      <c r="D10" s="95">
        <v>2</v>
      </c>
      <c r="E10" s="96" t="str">
        <f>IF(ISERROR(HLOOKUP(E$11,$M$9:$AD$35,$D10,0)),"",HLOOKUP(E$11,$M$9:$AD$35,$D10,0))</f>
        <v/>
      </c>
      <c r="F10" s="360" t="s">
        <v>394</v>
      </c>
      <c r="G10" s="360"/>
      <c r="H10" s="360"/>
      <c r="I10" s="360"/>
      <c r="J10" s="360"/>
      <c r="K10" s="360"/>
      <c r="L10" s="361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100" t="s">
        <v>474</v>
      </c>
      <c r="X10" s="100" t="s">
        <v>475</v>
      </c>
      <c r="Y10" s="100" t="s">
        <v>476</v>
      </c>
      <c r="Z10" s="100" t="s">
        <v>477</v>
      </c>
      <c r="AA10" s="100" t="s">
        <v>478</v>
      </c>
      <c r="AB10" s="100" t="s">
        <v>479</v>
      </c>
      <c r="AC10" s="101" t="s">
        <v>480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15">
        <f>MIN(SUMPRODUCT($M$11:$AD$11,M12:AD12),1)</f>
        <v>1</v>
      </c>
      <c r="F12" s="312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16">
        <f t="shared" si="0"/>
        <v>0</v>
      </c>
      <c r="F14" s="313" t="s">
        <v>391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16">
        <f t="shared" si="0"/>
        <v>0</v>
      </c>
      <c r="F15" s="313" t="s">
        <v>398</v>
      </c>
      <c r="G15" s="81" t="s">
        <v>390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16">
        <f t="shared" si="0"/>
        <v>1</v>
      </c>
      <c r="F16" s="313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16">
        <f t="shared" si="0"/>
        <v>1</v>
      </c>
      <c r="F17" s="313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16">
        <f t="shared" si="0"/>
        <v>1</v>
      </c>
      <c r="F18" s="313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391</v>
      </c>
      <c r="G19" s="81" t="s">
        <v>391</v>
      </c>
      <c r="H19" s="81" t="s">
        <v>391</v>
      </c>
      <c r="I19" s="81" t="s">
        <v>391</v>
      </c>
      <c r="J19" s="81" t="s">
        <v>391</v>
      </c>
      <c r="K19" s="81" t="s">
        <v>391</v>
      </c>
      <c r="L19" s="82" t="s">
        <v>391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16">
        <f t="shared" si="0"/>
        <v>1</v>
      </c>
      <c r="F20" s="313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16">
        <f t="shared" si="0"/>
        <v>1</v>
      </c>
      <c r="F22" s="313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16">
        <f t="shared" si="0"/>
        <v>1</v>
      </c>
      <c r="F23" s="313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16">
        <f t="shared" si="0"/>
        <v>0</v>
      </c>
      <c r="F24" s="313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16">
        <f t="shared" si="0"/>
        <v>0</v>
      </c>
      <c r="F25" s="313" t="s">
        <v>391</v>
      </c>
      <c r="G25" s="81" t="s">
        <v>391</v>
      </c>
      <c r="H25" s="81" t="s">
        <v>391</v>
      </c>
      <c r="I25" s="81" t="s">
        <v>391</v>
      </c>
      <c r="J25" s="81" t="s">
        <v>391</v>
      </c>
      <c r="K25" s="81" t="s">
        <v>391</v>
      </c>
      <c r="L25" s="82" t="s">
        <v>391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16">
        <f t="shared" si="0"/>
        <v>0</v>
      </c>
      <c r="F26" s="313" t="s">
        <v>391</v>
      </c>
      <c r="G26" s="81" t="s">
        <v>391</v>
      </c>
      <c r="H26" s="81" t="s">
        <v>391</v>
      </c>
      <c r="I26" s="81" t="s">
        <v>391</v>
      </c>
      <c r="J26" s="81" t="s">
        <v>391</v>
      </c>
      <c r="K26" s="81" t="s">
        <v>391</v>
      </c>
      <c r="L26" s="82" t="s">
        <v>391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391</v>
      </c>
      <c r="G27" s="81" t="s">
        <v>391</v>
      </c>
      <c r="H27" s="81" t="s">
        <v>391</v>
      </c>
      <c r="I27" s="81" t="s">
        <v>391</v>
      </c>
      <c r="J27" s="81" t="s">
        <v>391</v>
      </c>
      <c r="K27" s="81" t="s">
        <v>391</v>
      </c>
      <c r="L27" s="82" t="s">
        <v>391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16">
        <f t="shared" si="0"/>
        <v>1</v>
      </c>
      <c r="F28" s="313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404</v>
      </c>
      <c r="C29" s="341"/>
      <c r="D29" s="342">
        <v>19</v>
      </c>
      <c r="E29" s="343">
        <v>1</v>
      </c>
      <c r="F29" s="313" t="s">
        <v>391</v>
      </c>
      <c r="G29" s="313" t="s">
        <v>391</v>
      </c>
      <c r="H29" s="313" t="s">
        <v>391</v>
      </c>
      <c r="I29" s="313" t="s">
        <v>391</v>
      </c>
      <c r="J29" s="313" t="s">
        <v>391</v>
      </c>
      <c r="K29" s="313" t="s">
        <v>391</v>
      </c>
      <c r="L29" s="313" t="s">
        <v>391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405</v>
      </c>
      <c r="C30" s="118"/>
      <c r="D30" s="112">
        <v>20</v>
      </c>
      <c r="E30" s="316">
        <f t="shared" si="0"/>
        <v>0</v>
      </c>
      <c r="F30" s="313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16">
        <f t="shared" si="0"/>
        <v>0</v>
      </c>
      <c r="F31" s="313" t="s">
        <v>398</v>
      </c>
      <c r="G31" s="81" t="s">
        <v>398</v>
      </c>
      <c r="H31" s="81" t="s">
        <v>391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16">
        <f t="shared" si="0"/>
        <v>0</v>
      </c>
      <c r="F32" s="313" t="s">
        <v>390</v>
      </c>
      <c r="G32" s="81" t="s">
        <v>390</v>
      </c>
      <c r="H32" s="81" t="s">
        <v>390</v>
      </c>
      <c r="I32" s="81" t="s">
        <v>390</v>
      </c>
      <c r="J32" s="81" t="s">
        <v>390</v>
      </c>
      <c r="K32" s="81" t="s">
        <v>390</v>
      </c>
      <c r="L32" s="82" t="s">
        <v>391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16">
        <f t="shared" si="0"/>
        <v>1</v>
      </c>
      <c r="F33" s="313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16">
        <f t="shared" si="0"/>
        <v>1</v>
      </c>
      <c r="F34" s="313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17">
        <f t="shared" si="0"/>
        <v>0</v>
      </c>
      <c r="F35" s="314" t="s">
        <v>390</v>
      </c>
      <c r="G35" s="83" t="s">
        <v>390</v>
      </c>
      <c r="H35" s="83" t="s">
        <v>390</v>
      </c>
      <c r="I35" s="83" t="s">
        <v>390</v>
      </c>
      <c r="J35" s="83" t="s">
        <v>390</v>
      </c>
      <c r="K35" s="83" t="s">
        <v>390</v>
      </c>
      <c r="L35" s="84" t="s">
        <v>391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451</v>
      </c>
      <c r="B1" s="129"/>
      <c r="D1" s="218" t="s">
        <v>544</v>
      </c>
    </row>
    <row r="2" spans="1:16">
      <c r="A2" s="238"/>
      <c r="B2" s="237" t="s">
        <v>452</v>
      </c>
    </row>
    <row r="3" spans="1:16" ht="20.100000000000001" customHeight="1">
      <c r="A3" s="364" t="s">
        <v>248</v>
      </c>
      <c r="B3" s="239" t="s">
        <v>85</v>
      </c>
      <c r="C3" s="240"/>
      <c r="D3" s="366" t="s">
        <v>453</v>
      </c>
      <c r="E3" s="367"/>
      <c r="F3" s="367"/>
      <c r="G3" s="367"/>
      <c r="H3" s="367"/>
      <c r="I3" s="367"/>
      <c r="J3" s="368"/>
      <c r="K3" s="241"/>
      <c r="L3" s="241"/>
      <c r="M3" s="241"/>
      <c r="N3" s="241"/>
      <c r="O3" s="242"/>
      <c r="P3" s="241"/>
    </row>
    <row r="4" spans="1:16" ht="20.100000000000001" customHeight="1">
      <c r="A4" s="365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364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364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18b9f00-f4e5-4488-840e-6084e0f110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Schulte, Detlef</cp:lastModifiedBy>
  <cp:lastPrinted>2015-03-20T22:59:10Z</cp:lastPrinted>
  <dcterms:created xsi:type="dcterms:W3CDTF">2015-01-15T05:25:41Z</dcterms:created>
  <dcterms:modified xsi:type="dcterms:W3CDTF">2024-01-05T08:31:21Z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